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" yWindow="48" windowWidth="9216" windowHeight="4680" activeTab="1"/>
  </bookViews>
  <sheets>
    <sheet name="Plan1" sheetId="1" r:id="rId1"/>
    <sheet name="Plan2" sheetId="2" r:id="rId2"/>
    <sheet name="Plan3" sheetId="3" r:id="rId3"/>
  </sheets>
  <definedNames>
    <definedName name="CMV" localSheetId="1">Plan2!$B$6:$L$6</definedName>
    <definedName name="CMV">Plan1!$D$3:$D$9</definedName>
    <definedName name="Custo_unit">Plan1!$B$3:$B$9</definedName>
    <definedName name="Desp.administrat.">Plan2!$B$9:$L$9</definedName>
    <definedName name="Desp.comerciais">Plan2!$B$8:$L$8</definedName>
    <definedName name="Desp.financeiras">Plan2!$B$10:$L$10</definedName>
    <definedName name="H_DESP_ADM">Plan2!$B$9</definedName>
    <definedName name="H_DESP_COM">Plan2!$B$8</definedName>
    <definedName name="H_DESP_FIN">Plan2!$B$10</definedName>
    <definedName name="H_IMP_RENDA">Plan2!$B$17</definedName>
    <definedName name="H_IND_TRAB">Plan2!$B$11</definedName>
    <definedName name="H_IR1">Plan2!$B$23</definedName>
    <definedName name="H_IR2">Plan2!$B$22</definedName>
    <definedName name="H_OUTS_DESP">Plan2!$B$12</definedName>
    <definedName name="H_OUTS_REC">Plan2!$B$15</definedName>
    <definedName name="H_REC_FIN">Plan2!$B$13</definedName>
    <definedName name="Imp.Renda">Plan2!$B$17:$L$17</definedName>
    <definedName name="Indeniz.trabalh.">Plan2!$B$11:$L$11</definedName>
    <definedName name="Lucro">Plan1!$G$3:$G$9</definedName>
    <definedName name="Lucro_bruto">Plan2!$B$7:$L$7</definedName>
    <definedName name="Lucro_líquido">Plan2!$B$18:$L$18</definedName>
    <definedName name="Lucro_operacional">Plan2!$B$14:$L$14</definedName>
    <definedName name="Lucro_tributável">Plan2!$B$16:$L$16</definedName>
    <definedName name="Margem">Plan1!$B$12</definedName>
    <definedName name="Outras_despesas">Plan2!$B$12:$L$12</definedName>
    <definedName name="Outras_receitas">Plan2!$B$15:$L$15</definedName>
    <definedName name="Part.">Plan1!$H$3:$H$9</definedName>
    <definedName name="Preço_unit">Plan1!$E$3:$E$9</definedName>
    <definedName name="Rec.financeiras">Plan2!$B$13:$L$13</definedName>
    <definedName name="Receita" localSheetId="1">Plan2!$B$5:$L$5</definedName>
    <definedName name="Receita">Plan1!$F$3:$F$9</definedName>
    <definedName name="Total">Plan1!$G$10</definedName>
    <definedName name="Variacao">Plan2!$D$4:$K$4</definedName>
    <definedName name="Volume">Plan1!$C$3:$C$9</definedName>
  </definedNames>
  <calcPr calcId="145621"/>
</workbook>
</file>

<file path=xl/calcChain.xml><?xml version="1.0" encoding="utf-8"?>
<calcChain xmlns="http://schemas.openxmlformats.org/spreadsheetml/2006/main">
  <c r="J15" i="2" l="1"/>
  <c r="F15" i="2"/>
  <c r="E12" i="2"/>
  <c r="F12" i="2"/>
  <c r="G12" i="2"/>
  <c r="H12" i="2"/>
  <c r="I12" i="2"/>
  <c r="J12" i="2"/>
  <c r="K12" i="2"/>
  <c r="D12" i="2" l="1"/>
  <c r="C12" i="2" l="1"/>
  <c r="E4" i="1" l="1"/>
  <c r="F4" i="1" s="1"/>
  <c r="D4" i="1"/>
  <c r="E5" i="1"/>
  <c r="F5" i="1" s="1"/>
  <c r="D5" i="1"/>
  <c r="E6" i="1"/>
  <c r="F6" i="1" s="1"/>
  <c r="D6" i="1"/>
  <c r="E7" i="1"/>
  <c r="F7" i="1" s="1"/>
  <c r="D7" i="1"/>
  <c r="E8" i="1"/>
  <c r="F8" i="1" s="1"/>
  <c r="D8" i="1"/>
  <c r="E9" i="1"/>
  <c r="F9" i="1" s="1"/>
  <c r="D9" i="1"/>
  <c r="E3" i="1"/>
  <c r="F3" i="1" s="1"/>
  <c r="D3" i="1"/>
  <c r="D10" i="1" s="1"/>
  <c r="B6" i="2" s="1"/>
  <c r="C6" i="2" s="1"/>
  <c r="D6" i="2" s="1"/>
  <c r="E6" i="2" s="1"/>
  <c r="F6" i="2" s="1"/>
  <c r="G6" i="2" s="1"/>
  <c r="H6" i="2" s="1"/>
  <c r="I6" i="2" s="1"/>
  <c r="J6" i="2" s="1"/>
  <c r="K6" i="2" s="1"/>
  <c r="G9" i="1" l="1"/>
  <c r="G8" i="1"/>
  <c r="G7" i="1"/>
  <c r="G6" i="1"/>
  <c r="G5" i="1"/>
  <c r="G4" i="1"/>
  <c r="G3" i="1"/>
  <c r="F10" i="1"/>
  <c r="B5" i="2" s="1"/>
  <c r="C5" i="2" s="1"/>
  <c r="D5" i="2" l="1"/>
  <c r="C9" i="2"/>
  <c r="C8" i="2"/>
  <c r="C13" i="2"/>
  <c r="C10" i="2"/>
  <c r="C7" i="2"/>
  <c r="C14" i="2" s="1"/>
  <c r="C16" i="2" s="1"/>
  <c r="C17" i="2" s="1"/>
  <c r="C18" i="2"/>
  <c r="G10" i="1"/>
  <c r="H3" i="1" s="1"/>
  <c r="D11" i="2" l="1"/>
  <c r="D7" i="2"/>
  <c r="D8" i="2"/>
  <c r="D13" i="2"/>
  <c r="E5" i="2"/>
  <c r="D9" i="2"/>
  <c r="D10" i="2"/>
  <c r="H8" i="1"/>
  <c r="H6" i="1"/>
  <c r="H4" i="1"/>
  <c r="H9" i="1"/>
  <c r="H7" i="1"/>
  <c r="H5" i="1"/>
  <c r="F5" i="2" l="1"/>
  <c r="E9" i="2"/>
  <c r="E10" i="2"/>
  <c r="E7" i="2"/>
  <c r="E8" i="2"/>
  <c r="E13" i="2"/>
  <c r="D14" i="2"/>
  <c r="D16" i="2" s="1"/>
  <c r="D17" i="2" s="1"/>
  <c r="E14" i="2" l="1"/>
  <c r="E16" i="2" s="1"/>
  <c r="F9" i="2"/>
  <c r="F13" i="2"/>
  <c r="G5" i="2"/>
  <c r="F8" i="2"/>
  <c r="F7" i="2"/>
  <c r="F10" i="2"/>
  <c r="D18" i="2"/>
  <c r="F14" i="2" l="1"/>
  <c r="F16" i="2" s="1"/>
  <c r="H5" i="2"/>
  <c r="G7" i="2"/>
  <c r="G13" i="2"/>
  <c r="G10" i="2"/>
  <c r="G8" i="2"/>
  <c r="G9" i="2"/>
  <c r="E17" i="2"/>
  <c r="E18" i="2"/>
  <c r="H7" i="2" l="1"/>
  <c r="H10" i="2"/>
  <c r="H8" i="2"/>
  <c r="H11" i="2"/>
  <c r="I5" i="2"/>
  <c r="H9" i="2"/>
  <c r="H13" i="2"/>
  <c r="G14" i="2"/>
  <c r="G16" i="2" s="1"/>
  <c r="F17" i="2"/>
  <c r="F18" i="2" s="1"/>
  <c r="I8" i="2" l="1"/>
  <c r="I9" i="2"/>
  <c r="I10" i="2"/>
  <c r="I13" i="2"/>
  <c r="J5" i="2"/>
  <c r="I7" i="2"/>
  <c r="I14" i="2" s="1"/>
  <c r="I16" i="2" s="1"/>
  <c r="H14" i="2"/>
  <c r="H16" i="2" s="1"/>
  <c r="G17" i="2"/>
  <c r="G18" i="2" s="1"/>
  <c r="I17" i="2" l="1"/>
  <c r="I18" i="2" s="1"/>
  <c r="H17" i="2"/>
  <c r="H18" i="2" s="1"/>
  <c r="J8" i="2"/>
  <c r="J7" i="2"/>
  <c r="J10" i="2"/>
  <c r="J9" i="2"/>
  <c r="J13" i="2"/>
  <c r="K5" i="2"/>
  <c r="K10" i="2" l="1"/>
  <c r="K8" i="2"/>
  <c r="K9" i="2"/>
  <c r="K7" i="2"/>
  <c r="K13" i="2"/>
  <c r="J14" i="2"/>
  <c r="J16" i="2" s="1"/>
  <c r="K14" i="2" l="1"/>
  <c r="K16" i="2" s="1"/>
  <c r="J17" i="2"/>
  <c r="J18" i="2"/>
  <c r="K17" i="2" l="1"/>
  <c r="K18" i="2" s="1"/>
</calcChain>
</file>

<file path=xl/sharedStrings.xml><?xml version="1.0" encoding="utf-8"?>
<sst xmlns="http://schemas.openxmlformats.org/spreadsheetml/2006/main" count="49" uniqueCount="39">
  <si>
    <t>Custo unit</t>
  </si>
  <si>
    <t>Volume</t>
  </si>
  <si>
    <t>CMV</t>
  </si>
  <si>
    <t>Preço unit</t>
  </si>
  <si>
    <t>Receita</t>
  </si>
  <si>
    <t>Lucro</t>
  </si>
  <si>
    <t>Part.%</t>
  </si>
  <si>
    <t>Total</t>
  </si>
  <si>
    <t>Margem</t>
  </si>
  <si>
    <t>Televídeo Ltda - Previsões para o 4º trimestre</t>
  </si>
  <si>
    <t>R$</t>
  </si>
  <si>
    <t>Lucro bruto</t>
  </si>
  <si>
    <t>Desp.comerciais</t>
  </si>
  <si>
    <t>Desp.administrat.</t>
  </si>
  <si>
    <t>Desp.financeiras</t>
  </si>
  <si>
    <t>Indeniz.trabalh.</t>
  </si>
  <si>
    <t>Outras despesas</t>
  </si>
  <si>
    <t>Rec.financeiras</t>
  </si>
  <si>
    <t>Lucro operacional</t>
  </si>
  <si>
    <t>Outras receitas</t>
  </si>
  <si>
    <t>Lucro tributável</t>
  </si>
  <si>
    <t>Imp.Renda</t>
  </si>
  <si>
    <t>Lucro líquido</t>
  </si>
  <si>
    <t>Ano corr.</t>
  </si>
  <si>
    <t>Ano 1</t>
  </si>
  <si>
    <t>Ano 2</t>
  </si>
  <si>
    <t>4º trim</t>
  </si>
  <si>
    <t>1º trim</t>
  </si>
  <si>
    <t>2º trim</t>
  </si>
  <si>
    <t>3º trim</t>
  </si>
  <si>
    <t>TeleVídeo Ltda - Orçamento Trimestral</t>
  </si>
  <si>
    <t>Hipóteses</t>
  </si>
  <si>
    <t>TV LCD 19"</t>
  </si>
  <si>
    <t>TV LCD 22"</t>
  </si>
  <si>
    <t>TV LED 27"</t>
  </si>
  <si>
    <t>TV LED 32"</t>
  </si>
  <si>
    <t>DVD simples</t>
  </si>
  <si>
    <t>Blu-Ray</t>
  </si>
  <si>
    <t>DVD HDMI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</si>
</sst>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%"/>
    <numFmt numFmtId="165" formatCode="#,##0_ ;\-#,##0\ "/>
    <numFmt numFmtId="166" formatCode="_(* #,##0_);_(* \(#,##0\);_(* &quot;-&quot;??_);_(@_)"/>
  </numFmts>
  <fonts count="7" x14ac:knownFonts="1"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i/>
      <u/>
      <sz val="16"/>
      <color indexed="12"/>
      <name val="Times New Roman"/>
      <family val="1"/>
    </font>
    <font>
      <b/>
      <u/>
      <sz val="12"/>
      <color indexed="12"/>
      <name val="Times New Roman"/>
      <family val="1"/>
    </font>
    <font>
      <b/>
      <i/>
      <u/>
      <sz val="16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4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0">
    <xf numFmtId="4" fontId="0" fillId="0" borderId="0" xfId="0"/>
    <xf numFmtId="9" fontId="0" fillId="0" borderId="0" xfId="0" applyNumberFormat="1"/>
    <xf numFmtId="4" fontId="1" fillId="0" borderId="0" xfId="0" applyFont="1"/>
    <xf numFmtId="4" fontId="0" fillId="0" borderId="0" xfId="0" applyAlignment="1">
      <alignment horizontal="center" vertical="center"/>
    </xf>
    <xf numFmtId="3" fontId="0" fillId="0" borderId="1" xfId="0" applyNumberFormat="1" applyBorder="1"/>
    <xf numFmtId="1" fontId="0" fillId="0" borderId="1" xfId="0" applyNumberFormat="1" applyBorder="1"/>
    <xf numFmtId="3" fontId="0" fillId="0" borderId="1" xfId="0" applyNumberFormat="1" applyFont="1" applyBorder="1"/>
    <xf numFmtId="3" fontId="0" fillId="0" borderId="2" xfId="0" applyNumberFormat="1" applyFont="1" applyBorder="1"/>
    <xf numFmtId="3" fontId="0" fillId="0" borderId="3" xfId="0" applyNumberFormat="1" applyBorder="1"/>
    <xf numFmtId="1" fontId="0" fillId="0" borderId="3" xfId="0" applyNumberFormat="1" applyBorder="1"/>
    <xf numFmtId="3" fontId="0" fillId="0" borderId="3" xfId="0" applyNumberFormat="1" applyFont="1" applyBorder="1"/>
    <xf numFmtId="3" fontId="0" fillId="0" borderId="2" xfId="0" applyNumberFormat="1" applyBorder="1"/>
    <xf numFmtId="1" fontId="0" fillId="0" borderId="2" xfId="0" applyNumberFormat="1" applyBorder="1"/>
    <xf numFmtId="4" fontId="1" fillId="0" borderId="4" xfId="0" quotePrefix="1" applyFont="1" applyBorder="1" applyAlignment="1">
      <alignment horizontal="center" vertical="center" wrapText="1"/>
    </xf>
    <xf numFmtId="4" fontId="1" fillId="0" borderId="5" xfId="0" quotePrefix="1" applyFont="1" applyBorder="1" applyAlignment="1">
      <alignment horizontal="center" vertical="center" wrapText="1"/>
    </xf>
    <xf numFmtId="4" fontId="1" fillId="0" borderId="6" xfId="0" quotePrefix="1" applyFont="1" applyBorder="1" applyAlignment="1">
      <alignment horizontal="left"/>
    </xf>
    <xf numFmtId="164" fontId="0" fillId="0" borderId="7" xfId="0" applyNumberFormat="1" applyFont="1" applyBorder="1"/>
    <xf numFmtId="4" fontId="1" fillId="0" borderId="8" xfId="0" applyFont="1" applyBorder="1"/>
    <xf numFmtId="164" fontId="0" fillId="0" borderId="9" xfId="0" applyNumberFormat="1" applyFont="1" applyBorder="1"/>
    <xf numFmtId="4" fontId="1" fillId="0" borderId="8" xfId="0" quotePrefix="1" applyFont="1" applyBorder="1" applyAlignment="1">
      <alignment horizontal="left"/>
    </xf>
    <xf numFmtId="4" fontId="1" fillId="0" borderId="10" xfId="0" applyFont="1" applyBorder="1"/>
    <xf numFmtId="164" fontId="0" fillId="0" borderId="11" xfId="0" applyNumberFormat="1" applyFont="1" applyBorder="1"/>
    <xf numFmtId="4" fontId="1" fillId="0" borderId="12" xfId="0" applyFont="1" applyBorder="1"/>
    <xf numFmtId="4" fontId="0" fillId="0" borderId="13" xfId="0" applyFont="1" applyBorder="1"/>
    <xf numFmtId="3" fontId="1" fillId="0" borderId="13" xfId="0" applyNumberFormat="1" applyFont="1" applyBorder="1"/>
    <xf numFmtId="3" fontId="0" fillId="0" borderId="13" xfId="0" applyNumberFormat="1" applyFont="1" applyBorder="1"/>
    <xf numFmtId="164" fontId="2" fillId="0" borderId="14" xfId="0" applyNumberFormat="1" applyFont="1" applyBorder="1"/>
    <xf numFmtId="4" fontId="1" fillId="0" borderId="15" xfId="0" applyFont="1" applyBorder="1"/>
    <xf numFmtId="9" fontId="0" fillId="0" borderId="5" xfId="0" applyNumberFormat="1" applyBorder="1"/>
    <xf numFmtId="4" fontId="1" fillId="0" borderId="15" xfId="0" quotePrefix="1" applyFont="1" applyBorder="1" applyAlignment="1">
      <alignment horizontal="center" vertical="center" wrapText="1"/>
    </xf>
    <xf numFmtId="4" fontId="1" fillId="0" borderId="0" xfId="0" applyFont="1" applyFill="1" applyBorder="1" applyAlignment="1">
      <alignment horizontal="center" vertical="center"/>
    </xf>
    <xf numFmtId="4" fontId="2" fillId="0" borderId="0" xfId="0" applyFont="1" applyFill="1" applyBorder="1" applyAlignment="1">
      <alignment horizontal="center" vertical="center"/>
    </xf>
    <xf numFmtId="3" fontId="0" fillId="0" borderId="0" xfId="0" applyNumberFormat="1"/>
    <xf numFmtId="164" fontId="0" fillId="0" borderId="0" xfId="2" applyNumberFormat="1" applyFont="1"/>
    <xf numFmtId="165" fontId="0" fillId="0" borderId="0" xfId="1" applyNumberFormat="1" applyFont="1"/>
    <xf numFmtId="166" fontId="0" fillId="0" borderId="0" xfId="1" applyNumberFormat="1" applyFont="1"/>
    <xf numFmtId="4" fontId="4" fillId="2" borderId="0" xfId="0" applyFont="1" applyFill="1" applyAlignment="1">
      <alignment horizontal="center" vertical="center"/>
    </xf>
    <xf numFmtId="4" fontId="5" fillId="2" borderId="0" xfId="0" applyFont="1" applyFill="1" applyAlignment="1">
      <alignment horizontal="center" vertical="center"/>
    </xf>
    <xf numFmtId="4" fontId="1" fillId="0" borderId="0" xfId="0" applyFont="1" applyFill="1" applyBorder="1" applyAlignment="1">
      <alignment horizontal="center" vertical="center"/>
    </xf>
    <xf numFmtId="4" fontId="6" fillId="0" borderId="0" xfId="0" applyFont="1" applyAlignment="1">
      <alignment horizontal="center" vertic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G10" sqref="G10"/>
    </sheetView>
  </sheetViews>
  <sheetFormatPr defaultRowHeight="15" x14ac:dyDescent="0.25"/>
  <cols>
    <col min="1" max="1" width="11.6328125" bestFit="1" customWidth="1"/>
    <col min="2" max="2" width="6.453125" customWidth="1"/>
    <col min="3" max="8" width="7.1796875" customWidth="1"/>
  </cols>
  <sheetData>
    <row r="1" spans="1:8" s="3" customFormat="1" ht="25.2" customHeight="1" thickBot="1" x14ac:dyDescent="0.3">
      <c r="A1" s="36" t="s">
        <v>9</v>
      </c>
      <c r="B1" s="37"/>
      <c r="C1" s="37"/>
      <c r="D1" s="37"/>
      <c r="E1" s="37"/>
      <c r="F1" s="37"/>
      <c r="G1" s="37"/>
      <c r="H1" s="37"/>
    </row>
    <row r="2" spans="1:8" ht="30.6" customHeight="1" thickBot="1" x14ac:dyDescent="0.3">
      <c r="A2" s="29" t="s">
        <v>10</v>
      </c>
      <c r="B2" s="13" t="s">
        <v>0</v>
      </c>
      <c r="C2" s="13" t="s">
        <v>1</v>
      </c>
      <c r="D2" s="13" t="s">
        <v>2</v>
      </c>
      <c r="E2" s="13" t="s">
        <v>3</v>
      </c>
      <c r="F2" s="13" t="s">
        <v>4</v>
      </c>
      <c r="G2" s="13" t="s">
        <v>5</v>
      </c>
      <c r="H2" s="14" t="s">
        <v>6</v>
      </c>
    </row>
    <row r="3" spans="1:8" ht="15.6" x14ac:dyDescent="0.3">
      <c r="A3" s="15" t="s">
        <v>32</v>
      </c>
      <c r="B3" s="11">
        <v>260</v>
      </c>
      <c r="C3" s="12">
        <v>60</v>
      </c>
      <c r="D3" s="7">
        <f t="shared" ref="D3:D9" si="0">Custo_unit*Volume</f>
        <v>15600</v>
      </c>
      <c r="E3" s="11">
        <f t="shared" ref="E3:E9" si="1">(1+Margem)*Custo_unit</f>
        <v>335.18796992481214</v>
      </c>
      <c r="F3" s="7">
        <f t="shared" ref="F3:F9" si="2">Preço_unit*Volume</f>
        <v>20111.278195488729</v>
      </c>
      <c r="G3" s="7">
        <f t="shared" ref="G3:G9" si="3">Receita-CMV</f>
        <v>4511.2781954887287</v>
      </c>
      <c r="H3" s="16">
        <f t="shared" ref="H3:H9" si="4">Lucro/Total</f>
        <v>0.18045112781954889</v>
      </c>
    </row>
    <row r="4" spans="1:8" ht="15.6" x14ac:dyDescent="0.3">
      <c r="A4" s="17" t="s">
        <v>33</v>
      </c>
      <c r="B4" s="4">
        <v>320</v>
      </c>
      <c r="C4" s="5">
        <v>45</v>
      </c>
      <c r="D4" s="6">
        <f t="shared" si="0"/>
        <v>14400</v>
      </c>
      <c r="E4" s="4">
        <f t="shared" si="1"/>
        <v>412.53903990746107</v>
      </c>
      <c r="F4" s="6">
        <f t="shared" si="2"/>
        <v>18564.256795835747</v>
      </c>
      <c r="G4" s="6">
        <f t="shared" si="3"/>
        <v>4164.2567958357467</v>
      </c>
      <c r="H4" s="18">
        <f t="shared" si="4"/>
        <v>0.16657027183342962</v>
      </c>
    </row>
    <row r="5" spans="1:8" ht="15.6" x14ac:dyDescent="0.3">
      <c r="A5" s="19" t="s">
        <v>34</v>
      </c>
      <c r="B5" s="4">
        <v>600</v>
      </c>
      <c r="C5" s="5">
        <v>30</v>
      </c>
      <c r="D5" s="6">
        <f t="shared" si="0"/>
        <v>18000</v>
      </c>
      <c r="E5" s="4">
        <f t="shared" si="1"/>
        <v>773.5106998264896</v>
      </c>
      <c r="F5" s="6">
        <f t="shared" si="2"/>
        <v>23205.320994794689</v>
      </c>
      <c r="G5" s="6">
        <f t="shared" si="3"/>
        <v>5205.3209947946889</v>
      </c>
      <c r="H5" s="18">
        <f t="shared" si="4"/>
        <v>0.20821283979178726</v>
      </c>
    </row>
    <row r="6" spans="1:8" ht="15.6" x14ac:dyDescent="0.3">
      <c r="A6" s="17" t="s">
        <v>35</v>
      </c>
      <c r="B6" s="4">
        <v>680</v>
      </c>
      <c r="C6" s="5">
        <v>20</v>
      </c>
      <c r="D6" s="6">
        <f t="shared" si="0"/>
        <v>13600</v>
      </c>
      <c r="E6" s="4">
        <f t="shared" si="1"/>
        <v>876.64545980335481</v>
      </c>
      <c r="F6" s="6">
        <f t="shared" si="2"/>
        <v>17532.909196067096</v>
      </c>
      <c r="G6" s="6">
        <f t="shared" si="3"/>
        <v>3932.9091960670958</v>
      </c>
      <c r="H6" s="18">
        <f t="shared" si="4"/>
        <v>0.1573163678426836</v>
      </c>
    </row>
    <row r="7" spans="1:8" ht="15.6" x14ac:dyDescent="0.3">
      <c r="A7" s="17" t="s">
        <v>36</v>
      </c>
      <c r="B7" s="4">
        <v>200</v>
      </c>
      <c r="C7" s="5">
        <v>40</v>
      </c>
      <c r="D7" s="6">
        <f t="shared" si="0"/>
        <v>8000</v>
      </c>
      <c r="E7" s="4">
        <f t="shared" si="1"/>
        <v>257.8368999421632</v>
      </c>
      <c r="F7" s="6">
        <f t="shared" si="2"/>
        <v>10313.475997686528</v>
      </c>
      <c r="G7" s="6">
        <f t="shared" si="3"/>
        <v>2313.475997686528</v>
      </c>
      <c r="H7" s="18">
        <f t="shared" si="4"/>
        <v>9.2539039907460985E-2</v>
      </c>
    </row>
    <row r="8" spans="1:8" ht="15.6" x14ac:dyDescent="0.3">
      <c r="A8" s="19" t="s">
        <v>38</v>
      </c>
      <c r="B8" s="4">
        <v>310</v>
      </c>
      <c r="C8" s="5">
        <v>35</v>
      </c>
      <c r="D8" s="6">
        <f t="shared" si="0"/>
        <v>10850</v>
      </c>
      <c r="E8" s="4">
        <f t="shared" si="1"/>
        <v>399.64719491035294</v>
      </c>
      <c r="F8" s="6">
        <f t="shared" si="2"/>
        <v>13987.651821862353</v>
      </c>
      <c r="G8" s="6">
        <f t="shared" si="3"/>
        <v>3137.6518218623532</v>
      </c>
      <c r="H8" s="18">
        <f t="shared" si="4"/>
        <v>0.12550607287449395</v>
      </c>
    </row>
    <row r="9" spans="1:8" ht="16.2" thickBot="1" x14ac:dyDescent="0.35">
      <c r="A9" s="20" t="s">
        <v>37</v>
      </c>
      <c r="B9" s="8">
        <v>400</v>
      </c>
      <c r="C9" s="9">
        <v>15</v>
      </c>
      <c r="D9" s="10">
        <f t="shared" si="0"/>
        <v>6000</v>
      </c>
      <c r="E9" s="8">
        <f t="shared" si="1"/>
        <v>515.6737998843264</v>
      </c>
      <c r="F9" s="10">
        <f t="shared" si="2"/>
        <v>7735.106998264896</v>
      </c>
      <c r="G9" s="10">
        <f t="shared" si="3"/>
        <v>1735.106998264896</v>
      </c>
      <c r="H9" s="21">
        <f t="shared" si="4"/>
        <v>6.9404279930595739E-2</v>
      </c>
    </row>
    <row r="10" spans="1:8" ht="16.8" thickTop="1" thickBot="1" x14ac:dyDescent="0.35">
      <c r="A10" s="22" t="s">
        <v>7</v>
      </c>
      <c r="B10" s="23"/>
      <c r="C10" s="23"/>
      <c r="D10" s="24">
        <f>SUM(CMV)</f>
        <v>86450</v>
      </c>
      <c r="E10" s="25"/>
      <c r="F10" s="24">
        <f>SUM(Receita)</f>
        <v>111450.00000000003</v>
      </c>
      <c r="G10" s="24">
        <f>SUM(Lucro)</f>
        <v>25000.000000000036</v>
      </c>
      <c r="H10" s="26"/>
    </row>
    <row r="11" spans="1:8" ht="16.2" thickBot="1" x14ac:dyDescent="0.35">
      <c r="A11" s="2"/>
    </row>
    <row r="12" spans="1:8" ht="16.2" thickBot="1" x14ac:dyDescent="0.35">
      <c r="A12" s="27" t="s">
        <v>8</v>
      </c>
      <c r="B12" s="28">
        <v>0.28918449971081595</v>
      </c>
    </row>
    <row r="13" spans="1:8" x14ac:dyDescent="0.25">
      <c r="C13" s="1"/>
    </row>
  </sheetData>
  <mergeCells count="1">
    <mergeCell ref="A1:H1"/>
  </mergeCells>
  <phoneticPr fontId="3" type="noConversion"/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>
    <oddFooter>&amp;R&amp;F  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zoomScale="70" workbookViewId="0">
      <selection activeCell="L5" sqref="L5"/>
    </sheetView>
  </sheetViews>
  <sheetFormatPr defaultRowHeight="15" x14ac:dyDescent="0.25"/>
  <cols>
    <col min="1" max="1" width="15.81640625" bestFit="1" customWidth="1"/>
    <col min="2" max="2" width="10.08984375" bestFit="1" customWidth="1"/>
    <col min="3" max="3" width="9.1796875" bestFit="1" customWidth="1"/>
    <col min="4" max="4" width="8.90625" bestFit="1" customWidth="1"/>
  </cols>
  <sheetData>
    <row r="1" spans="1:12" ht="27.6" customHeight="1" x14ac:dyDescent="0.25">
      <c r="A1" s="39" t="s">
        <v>30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15.6" x14ac:dyDescent="0.25">
      <c r="C2" s="30" t="s">
        <v>23</v>
      </c>
      <c r="D2" s="38" t="s">
        <v>24</v>
      </c>
      <c r="E2" s="38"/>
      <c r="F2" s="38"/>
      <c r="G2" s="38"/>
      <c r="H2" s="38" t="s">
        <v>25</v>
      </c>
      <c r="I2" s="38"/>
      <c r="J2" s="38"/>
      <c r="K2" s="38"/>
    </row>
    <row r="3" spans="1:12" x14ac:dyDescent="0.25">
      <c r="C3" s="31" t="s">
        <v>26</v>
      </c>
      <c r="D3" s="31" t="s">
        <v>27</v>
      </c>
      <c r="E3" s="31" t="s">
        <v>28</v>
      </c>
      <c r="F3" s="31" t="s">
        <v>29</v>
      </c>
      <c r="G3" s="31" t="s">
        <v>26</v>
      </c>
      <c r="H3" s="31" t="s">
        <v>27</v>
      </c>
      <c r="I3" s="31" t="s">
        <v>28</v>
      </c>
      <c r="J3" s="31" t="s">
        <v>29</v>
      </c>
      <c r="K3" s="31" t="s">
        <v>26</v>
      </c>
    </row>
    <row r="4" spans="1:12" ht="15.6" x14ac:dyDescent="0.3">
      <c r="B4" s="2" t="s">
        <v>31</v>
      </c>
      <c r="D4" s="33">
        <v>-0.01</v>
      </c>
      <c r="E4" s="33">
        <v>0.02</v>
      </c>
      <c r="F4" s="33">
        <v>0.02</v>
      </c>
      <c r="G4" s="33">
        <v>0.03</v>
      </c>
      <c r="H4" s="33">
        <v>0.01</v>
      </c>
      <c r="I4" s="33">
        <v>0.01</v>
      </c>
      <c r="J4" s="33">
        <v>0.03</v>
      </c>
      <c r="K4" s="33">
        <v>0.04</v>
      </c>
      <c r="L4" s="2" t="s">
        <v>7</v>
      </c>
    </row>
    <row r="5" spans="1:12" x14ac:dyDescent="0.25">
      <c r="A5" t="s">
        <v>4</v>
      </c>
      <c r="B5" s="32">
        <f>Plan1!F10</f>
        <v>111450.00000000003</v>
      </c>
      <c r="C5" s="34">
        <f>B5</f>
        <v>111450.00000000003</v>
      </c>
      <c r="D5" s="34">
        <f t="shared" ref="D5:K6" si="0">C5*(1+Variacao)</f>
        <v>110335.50000000003</v>
      </c>
      <c r="E5" s="34">
        <f t="shared" si="0"/>
        <v>112542.21000000004</v>
      </c>
      <c r="F5" s="34">
        <f t="shared" si="0"/>
        <v>114793.05420000004</v>
      </c>
      <c r="G5" s="34">
        <f t="shared" si="0"/>
        <v>118236.84582600005</v>
      </c>
      <c r="H5" s="34">
        <f t="shared" si="0"/>
        <v>119419.21428426004</v>
      </c>
      <c r="I5" s="34">
        <f t="shared" si="0"/>
        <v>120613.40642710264</v>
      </c>
      <c r="J5" s="34">
        <f t="shared" si="0"/>
        <v>124231.80861991573</v>
      </c>
      <c r="K5" s="34">
        <f t="shared" si="0"/>
        <v>129201.08096471235</v>
      </c>
      <c r="L5" s="34"/>
    </row>
    <row r="6" spans="1:12" x14ac:dyDescent="0.25">
      <c r="A6" t="s">
        <v>2</v>
      </c>
      <c r="B6" s="32">
        <f>Plan1!D10</f>
        <v>86450</v>
      </c>
      <c r="C6" s="34">
        <f>B6</f>
        <v>86450</v>
      </c>
      <c r="D6" s="34">
        <f t="shared" si="0"/>
        <v>85585.5</v>
      </c>
      <c r="E6" s="34">
        <f t="shared" si="0"/>
        <v>87297.21</v>
      </c>
      <c r="F6" s="34">
        <f t="shared" si="0"/>
        <v>89043.154200000004</v>
      </c>
      <c r="G6" s="34">
        <f t="shared" si="0"/>
        <v>91714.448826000007</v>
      </c>
      <c r="H6" s="34">
        <f t="shared" si="0"/>
        <v>92631.593314260012</v>
      </c>
      <c r="I6" s="34">
        <f t="shared" si="0"/>
        <v>93557.909247402611</v>
      </c>
      <c r="J6" s="34">
        <f t="shared" si="0"/>
        <v>96364.646524824697</v>
      </c>
      <c r="K6" s="34">
        <f t="shared" si="0"/>
        <v>100219.23238581768</v>
      </c>
      <c r="L6" s="34"/>
    </row>
    <row r="7" spans="1:12" x14ac:dyDescent="0.25">
      <c r="A7" t="s">
        <v>11</v>
      </c>
      <c r="B7" s="32"/>
      <c r="C7" s="34">
        <f t="shared" ref="C7:K7" si="1">Receita-CMV</f>
        <v>25000.000000000029</v>
      </c>
      <c r="D7" s="34">
        <f t="shared" si="1"/>
        <v>24750.000000000029</v>
      </c>
      <c r="E7" s="34">
        <f t="shared" si="1"/>
        <v>25245.000000000029</v>
      </c>
      <c r="F7" s="34">
        <f t="shared" si="1"/>
        <v>25749.900000000038</v>
      </c>
      <c r="G7" s="34">
        <f t="shared" si="1"/>
        <v>26522.397000000041</v>
      </c>
      <c r="H7" s="34">
        <f t="shared" si="1"/>
        <v>26787.620970000033</v>
      </c>
      <c r="I7" s="34">
        <f t="shared" si="1"/>
        <v>27055.497179700033</v>
      </c>
      <c r="J7" s="34">
        <f t="shared" si="1"/>
        <v>27867.162095091029</v>
      </c>
      <c r="K7" s="34">
        <f t="shared" si="1"/>
        <v>28981.848578894671</v>
      </c>
      <c r="L7" s="34"/>
    </row>
    <row r="8" spans="1:12" x14ac:dyDescent="0.25">
      <c r="A8" t="s">
        <v>12</v>
      </c>
      <c r="B8" s="33">
        <v>6.5000000000000002E-2</v>
      </c>
      <c r="C8" s="34">
        <f>Plan2!Receita*H_DESP_COM</f>
        <v>7244.2500000000018</v>
      </c>
      <c r="D8" s="34">
        <f>Plan2!Receita*H_DESP_COM</f>
        <v>7171.8075000000017</v>
      </c>
      <c r="E8" s="34">
        <f>Plan2!Receita*H_DESP_COM</f>
        <v>7315.2436500000022</v>
      </c>
      <c r="F8" s="34">
        <f>Plan2!Receita*H_DESP_COM</f>
        <v>7461.5485230000031</v>
      </c>
      <c r="G8" s="34">
        <f>Plan2!Receita*H_DESP_COM</f>
        <v>7685.394978690003</v>
      </c>
      <c r="H8" s="34">
        <f>Plan2!Receita*H_DESP_COM</f>
        <v>7762.2489284769035</v>
      </c>
      <c r="I8" s="34">
        <f>Plan2!Receita*H_DESP_COM</f>
        <v>7839.8714177616721</v>
      </c>
      <c r="J8" s="34">
        <f>Plan2!Receita*H_DESP_COM</f>
        <v>8075.0675602945221</v>
      </c>
      <c r="K8" s="34">
        <f>Plan2!Receita*H_DESP_COM</f>
        <v>8398.0702627063038</v>
      </c>
      <c r="L8" s="34"/>
    </row>
    <row r="9" spans="1:12" x14ac:dyDescent="0.25">
      <c r="A9" t="s">
        <v>13</v>
      </c>
      <c r="B9" s="33">
        <v>4.4999999999999998E-2</v>
      </c>
      <c r="C9" s="34">
        <f>Plan2!Receita*H_DESP_ADM</f>
        <v>5015.2500000000009</v>
      </c>
      <c r="D9" s="34">
        <f>Plan2!Receita*H_DESP_ADM</f>
        <v>4965.0975000000008</v>
      </c>
      <c r="E9" s="34">
        <f>Plan2!Receita*H_DESP_ADM</f>
        <v>5064.3994500000017</v>
      </c>
      <c r="F9" s="34">
        <f>Plan2!Receita*H_DESP_ADM</f>
        <v>5165.6874390000021</v>
      </c>
      <c r="G9" s="34">
        <f>Plan2!Receita*H_DESP_ADM</f>
        <v>5320.6580621700023</v>
      </c>
      <c r="H9" s="34">
        <f>Plan2!Receita*H_DESP_ADM</f>
        <v>5373.864642791702</v>
      </c>
      <c r="I9" s="34">
        <f>Plan2!Receita*H_DESP_ADM</f>
        <v>5427.603289219619</v>
      </c>
      <c r="J9" s="34">
        <f>Plan2!Receita*H_DESP_ADM</f>
        <v>5590.4313878962075</v>
      </c>
      <c r="K9" s="34">
        <f>Plan2!Receita*H_DESP_ADM</f>
        <v>5814.0486434120558</v>
      </c>
      <c r="L9" s="34"/>
    </row>
    <row r="10" spans="1:12" x14ac:dyDescent="0.25">
      <c r="A10" t="s">
        <v>14</v>
      </c>
      <c r="B10" s="33">
        <v>2.1999999999999999E-2</v>
      </c>
      <c r="C10" s="34">
        <f>Plan2!Receita*H_DESP_FIN</f>
        <v>2451.9000000000005</v>
      </c>
      <c r="D10" s="34">
        <f>Plan2!Receita*H_DESP_FIN</f>
        <v>2427.3810000000003</v>
      </c>
      <c r="E10" s="34">
        <f>Plan2!Receita*H_DESP_FIN</f>
        <v>2475.9286200000006</v>
      </c>
      <c r="F10" s="34">
        <f>Plan2!Receita*H_DESP_FIN</f>
        <v>2525.4471924000009</v>
      </c>
      <c r="G10" s="34">
        <f>Plan2!Receita*H_DESP_FIN</f>
        <v>2601.2106081720008</v>
      </c>
      <c r="H10" s="34">
        <f>Plan2!Receita*H_DESP_FIN</f>
        <v>2627.2227142537208</v>
      </c>
      <c r="I10" s="34">
        <f>Plan2!Receita*H_DESP_FIN</f>
        <v>2653.4949413962581</v>
      </c>
      <c r="J10" s="34">
        <f>Plan2!Receita*H_DESP_FIN</f>
        <v>2733.0997896381459</v>
      </c>
      <c r="K10" s="34">
        <f>Plan2!Receita*H_DESP_FIN</f>
        <v>2842.4237812236715</v>
      </c>
      <c r="L10" s="34"/>
    </row>
    <row r="11" spans="1:12" x14ac:dyDescent="0.25">
      <c r="A11" t="s">
        <v>15</v>
      </c>
      <c r="B11" s="33">
        <v>0.15</v>
      </c>
      <c r="C11" s="34"/>
      <c r="D11" s="34">
        <f>Plan2!Receita*H_IND_TRAB</f>
        <v>16550.325000000004</v>
      </c>
      <c r="E11" s="34"/>
      <c r="F11" s="34"/>
      <c r="G11" s="34"/>
      <c r="H11" s="34">
        <f>Plan2!Receita*H_IND_TRAB</f>
        <v>17912.882142639006</v>
      </c>
      <c r="I11" s="34"/>
      <c r="J11" s="34"/>
      <c r="K11" s="34"/>
      <c r="L11" s="34"/>
    </row>
    <row r="12" spans="1:12" x14ac:dyDescent="0.25">
      <c r="A12" t="s">
        <v>16</v>
      </c>
      <c r="B12" s="32">
        <v>1500</v>
      </c>
      <c r="C12" s="34">
        <f t="shared" ref="C12:K12" si="2">H_OUTS_DESP</f>
        <v>1500</v>
      </c>
      <c r="D12" s="34">
        <f t="shared" si="2"/>
        <v>1500</v>
      </c>
      <c r="E12" s="34">
        <f t="shared" si="2"/>
        <v>1500</v>
      </c>
      <c r="F12" s="34">
        <f t="shared" si="2"/>
        <v>1500</v>
      </c>
      <c r="G12" s="34">
        <f t="shared" si="2"/>
        <v>1500</v>
      </c>
      <c r="H12" s="34">
        <f t="shared" si="2"/>
        <v>1500</v>
      </c>
      <c r="I12" s="34">
        <f t="shared" si="2"/>
        <v>1500</v>
      </c>
      <c r="J12" s="34">
        <f t="shared" si="2"/>
        <v>1500</v>
      </c>
      <c r="K12" s="34">
        <f t="shared" si="2"/>
        <v>1500</v>
      </c>
      <c r="L12" s="34"/>
    </row>
    <row r="13" spans="1:12" x14ac:dyDescent="0.25">
      <c r="A13" t="s">
        <v>17</v>
      </c>
      <c r="B13" s="33">
        <v>7.0000000000000007E-2</v>
      </c>
      <c r="C13" s="34">
        <f>Plan2!Receita*H_REC_FIN</f>
        <v>7801.5000000000027</v>
      </c>
      <c r="D13" s="34">
        <f>Plan2!Receita*H_REC_FIN</f>
        <v>7723.4850000000024</v>
      </c>
      <c r="E13" s="34">
        <f>Plan2!Receita*H_REC_FIN</f>
        <v>7877.954700000003</v>
      </c>
      <c r="F13" s="34">
        <f>Plan2!Receita*H_REC_FIN</f>
        <v>8035.5137940000041</v>
      </c>
      <c r="G13" s="34">
        <f>Plan2!Receita*H_REC_FIN</f>
        <v>8276.5792078200047</v>
      </c>
      <c r="H13" s="34">
        <f>Plan2!Receita*H_REC_FIN</f>
        <v>8359.3449998982032</v>
      </c>
      <c r="I13" s="34">
        <f>Plan2!Receita*H_REC_FIN</f>
        <v>8442.9384498971867</v>
      </c>
      <c r="J13" s="34">
        <f>Plan2!Receita*H_REC_FIN</f>
        <v>8696.2266033941014</v>
      </c>
      <c r="K13" s="34">
        <f>Plan2!Receita*H_REC_FIN</f>
        <v>9044.0756675298653</v>
      </c>
      <c r="L13" s="34"/>
    </row>
    <row r="14" spans="1:12" x14ac:dyDescent="0.25">
      <c r="A14" t="s">
        <v>18</v>
      </c>
      <c r="C14" s="34">
        <f t="shared" ref="C14:K14" si="3">Lucro_bruto-SUM(C8:C12)+C13</f>
        <v>16590.100000000028</v>
      </c>
      <c r="D14" s="34">
        <f t="shared" si="3"/>
        <v>-141.12599999997656</v>
      </c>
      <c r="E14" s="34">
        <f t="shared" si="3"/>
        <v>16767.382980000028</v>
      </c>
      <c r="F14" s="34">
        <f t="shared" si="3"/>
        <v>17132.730639600035</v>
      </c>
      <c r="G14" s="34">
        <f t="shared" si="3"/>
        <v>17691.712558788036</v>
      </c>
      <c r="H14" s="34">
        <f t="shared" si="3"/>
        <v>-29.252458263094013</v>
      </c>
      <c r="I14" s="34">
        <f t="shared" si="3"/>
        <v>18077.46598121967</v>
      </c>
      <c r="J14" s="34">
        <f t="shared" si="3"/>
        <v>18664.789960656257</v>
      </c>
      <c r="K14" s="34">
        <f t="shared" si="3"/>
        <v>19471.381559082507</v>
      </c>
      <c r="L14" s="34"/>
    </row>
    <row r="15" spans="1:12" x14ac:dyDescent="0.25">
      <c r="A15" t="s">
        <v>19</v>
      </c>
      <c r="B15" s="32">
        <v>2000</v>
      </c>
      <c r="C15" s="34"/>
      <c r="D15" s="34"/>
      <c r="E15" s="34"/>
      <c r="F15" s="34">
        <f>H_OUTS_REC</f>
        <v>2000</v>
      </c>
      <c r="G15" s="34"/>
      <c r="H15" s="34"/>
      <c r="I15" s="34"/>
      <c r="J15" s="34">
        <f>H_OUTS_REC</f>
        <v>2000</v>
      </c>
      <c r="K15" s="34"/>
      <c r="L15" s="34"/>
    </row>
    <row r="16" spans="1:12" x14ac:dyDescent="0.25">
      <c r="A16" t="s">
        <v>20</v>
      </c>
      <c r="C16" s="34">
        <f t="shared" ref="C16:K16" si="4">Lucro_operacional--+Outras_receitas</f>
        <v>16590.100000000028</v>
      </c>
      <c r="D16" s="34">
        <f t="shared" si="4"/>
        <v>-141.12599999997656</v>
      </c>
      <c r="E16" s="34">
        <f t="shared" si="4"/>
        <v>16767.382980000028</v>
      </c>
      <c r="F16" s="34">
        <f t="shared" si="4"/>
        <v>19132.730639600035</v>
      </c>
      <c r="G16" s="34">
        <f t="shared" si="4"/>
        <v>17691.712558788036</v>
      </c>
      <c r="H16" s="34">
        <f t="shared" si="4"/>
        <v>-29.252458263094013</v>
      </c>
      <c r="I16" s="34">
        <f t="shared" si="4"/>
        <v>18077.46598121967</v>
      </c>
      <c r="J16" s="34">
        <f t="shared" si="4"/>
        <v>20664.789960656257</v>
      </c>
      <c r="K16" s="34">
        <f t="shared" si="4"/>
        <v>19471.381559082507</v>
      </c>
      <c r="L16" s="34"/>
    </row>
    <row r="17" spans="1:12" x14ac:dyDescent="0.25">
      <c r="A17" t="s">
        <v>21</v>
      </c>
      <c r="B17" s="33"/>
      <c r="C17" s="34">
        <f t="shared" ref="C17:K17" si="5">IF(Lucro_tributável&gt;$A$23,H_IR1,IF(Lucro_tributável&gt;$A$22,H_IR2,0))*Lucro_tributável</f>
        <v>4147.5250000000069</v>
      </c>
      <c r="D17" s="34">
        <f t="shared" si="5"/>
        <v>0</v>
      </c>
      <c r="E17" s="34">
        <f t="shared" si="5"/>
        <v>4191.8457450000069</v>
      </c>
      <c r="F17" s="34">
        <f t="shared" si="5"/>
        <v>4783.1826599000087</v>
      </c>
      <c r="G17" s="34">
        <f t="shared" si="5"/>
        <v>4422.9281396970091</v>
      </c>
      <c r="H17" s="34">
        <f t="shared" si="5"/>
        <v>0</v>
      </c>
      <c r="I17" s="34">
        <f t="shared" si="5"/>
        <v>4519.3664953049174</v>
      </c>
      <c r="J17" s="34">
        <f t="shared" si="5"/>
        <v>7232.6764862296895</v>
      </c>
      <c r="K17" s="34">
        <f t="shared" si="5"/>
        <v>4867.8453897706268</v>
      </c>
      <c r="L17" s="34"/>
    </row>
    <row r="18" spans="1:12" x14ac:dyDescent="0.25">
      <c r="A18" t="s">
        <v>22</v>
      </c>
      <c r="C18" s="34">
        <f t="shared" ref="C18:K18" si="6">Lucro_tributável-Imp.Renda</f>
        <v>12442.575000000021</v>
      </c>
      <c r="D18" s="34">
        <f t="shared" si="6"/>
        <v>-141.12599999997656</v>
      </c>
      <c r="E18" s="34">
        <f t="shared" si="6"/>
        <v>12575.537235000022</v>
      </c>
      <c r="F18" s="34">
        <f t="shared" si="6"/>
        <v>14349.547979700026</v>
      </c>
      <c r="G18" s="34">
        <f t="shared" si="6"/>
        <v>13268.784419091027</v>
      </c>
      <c r="H18" s="34">
        <f t="shared" si="6"/>
        <v>-29.252458263094013</v>
      </c>
      <c r="I18" s="34">
        <f t="shared" si="6"/>
        <v>13558.099485914752</v>
      </c>
      <c r="J18" s="34">
        <f t="shared" si="6"/>
        <v>13432.113474426567</v>
      </c>
      <c r="K18" s="34">
        <f t="shared" si="6"/>
        <v>14603.536169311879</v>
      </c>
      <c r="L18" s="34"/>
    </row>
    <row r="20" spans="1:12" x14ac:dyDescent="0.25">
      <c r="A20" t="s">
        <v>22</v>
      </c>
      <c r="B20" t="s">
        <v>21</v>
      </c>
    </row>
    <row r="21" spans="1:12" x14ac:dyDescent="0.25">
      <c r="A21" s="35">
        <v>0</v>
      </c>
      <c r="B21" s="33">
        <v>0</v>
      </c>
    </row>
    <row r="22" spans="1:12" x14ac:dyDescent="0.25">
      <c r="A22" s="35">
        <v>10000</v>
      </c>
      <c r="B22" s="33">
        <v>0.25</v>
      </c>
    </row>
    <row r="23" spans="1:12" x14ac:dyDescent="0.25">
      <c r="A23" s="35">
        <v>20000</v>
      </c>
      <c r="B23" s="33">
        <v>0.35</v>
      </c>
    </row>
  </sheetData>
  <mergeCells count="3">
    <mergeCell ref="D2:G2"/>
    <mergeCell ref="H2:K2"/>
    <mergeCell ref="A1:L1"/>
  </mergeCells>
  <phoneticPr fontId="3" type="noConversion"/>
  <pageMargins left="0.78740157499999996" right="0.78740157499999996" top="0.984251969" bottom="0.984251969" header="0.49212598499999999" footer="0.49212598499999999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34</vt:i4>
      </vt:variant>
    </vt:vector>
  </HeadingPairs>
  <TitlesOfParts>
    <vt:vector size="37" baseType="lpstr">
      <vt:lpstr>Plan1</vt:lpstr>
      <vt:lpstr>Plan2</vt:lpstr>
      <vt:lpstr>Plan3</vt:lpstr>
      <vt:lpstr>Plan2!CMV</vt:lpstr>
      <vt:lpstr>CMV</vt:lpstr>
      <vt:lpstr>Custo_unit</vt:lpstr>
      <vt:lpstr>Desp.administrat.</vt:lpstr>
      <vt:lpstr>Desp.comerciais</vt:lpstr>
      <vt:lpstr>Desp.financeiras</vt:lpstr>
      <vt:lpstr>H_DESP_ADM</vt:lpstr>
      <vt:lpstr>H_DESP_COM</vt:lpstr>
      <vt:lpstr>H_DESP_FIN</vt:lpstr>
      <vt:lpstr>H_IMP_RENDA</vt:lpstr>
      <vt:lpstr>H_IND_TRAB</vt:lpstr>
      <vt:lpstr>H_IR1</vt:lpstr>
      <vt:lpstr>H_IR2</vt:lpstr>
      <vt:lpstr>H_OUTS_DESP</vt:lpstr>
      <vt:lpstr>H_OUTS_REC</vt:lpstr>
      <vt:lpstr>H_REC_FIN</vt:lpstr>
      <vt:lpstr>Imp.Renda</vt:lpstr>
      <vt:lpstr>Indeniz.trabalh.</vt:lpstr>
      <vt:lpstr>Lucro</vt:lpstr>
      <vt:lpstr>Lucro_bruto</vt:lpstr>
      <vt:lpstr>Lucro_líquido</vt:lpstr>
      <vt:lpstr>Lucro_operacional</vt:lpstr>
      <vt:lpstr>Lucro_tributável</vt:lpstr>
      <vt:lpstr>Margem</vt:lpstr>
      <vt:lpstr>Outras_despesas</vt:lpstr>
      <vt:lpstr>Outras_receitas</vt:lpstr>
      <vt:lpstr>Part.</vt:lpstr>
      <vt:lpstr>Preço_unit</vt:lpstr>
      <vt:lpstr>Rec.financeiras</vt:lpstr>
      <vt:lpstr>Plan2!Receita</vt:lpstr>
      <vt:lpstr>Receita</vt:lpstr>
      <vt:lpstr>Total</vt:lpstr>
      <vt:lpstr>Variacao</vt:lpstr>
      <vt:lpstr>Volume</vt:lpstr>
    </vt:vector>
  </TitlesOfParts>
  <Company>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Usando o Excel na pratica</dc:creator>
  <cp:lastModifiedBy>Meirelles</cp:lastModifiedBy>
  <cp:lastPrinted>2009-07-23T04:48:13Z</cp:lastPrinted>
  <dcterms:created xsi:type="dcterms:W3CDTF">1998-05-14T15:05:47Z</dcterms:created>
  <dcterms:modified xsi:type="dcterms:W3CDTF">2014-01-23T21:50:48Z</dcterms:modified>
</cp:coreProperties>
</file>